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mc:AlternateContent xmlns:mc="http://schemas.openxmlformats.org/markup-compatibility/2006">
    <mc:Choice Requires="x15">
      <x15ac:absPath xmlns:x15ac="http://schemas.microsoft.com/office/spreadsheetml/2010/11/ac" url="https://rcdony.sharepoint.com/sites/GuggenheimReservations/Shared Documents/General/Policies and other files/"/>
    </mc:Choice>
  </mc:AlternateContent>
  <xr:revisionPtr revIDLastSave="0" documentId="8_{DEFDE832-BE0F-4CEC-9F1C-DC5A294D7AA2}" xr6:coauthVersionLast="47" xr6:coauthVersionMax="47" xr10:uidLastSave="{00000000-0000-0000-0000-000000000000}"/>
  <bookViews>
    <workbookView xWindow="3700" yWindow="3680" windowWidth="30720" windowHeight="15290" xr2:uid="{00000000-000D-0000-FFFF-FFFF00000000}"/>
  </bookViews>
  <sheets>
    <sheet name="Estim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8" i="1"/>
  <c r="E37" i="1"/>
  <c r="E35" i="1"/>
  <c r="E38" i="1" l="1"/>
  <c r="E39" i="1"/>
  <c r="E40" i="1" s="1"/>
  <c r="E41" i="1" s="1"/>
  <c r="E45" i="1" l="1"/>
  <c r="E43" i="1"/>
  <c r="E44" i="1" s="1"/>
  <c r="C15" i="1" l="1"/>
  <c r="C13" i="1"/>
  <c r="C14" i="1"/>
  <c r="D45" i="1"/>
  <c r="D44" i="1"/>
  <c r="D43" i="1"/>
  <c r="D22" i="1"/>
  <c r="D21" i="1"/>
  <c r="D20" i="1"/>
  <c r="E20" i="1" l="1"/>
  <c r="E22" i="1"/>
  <c r="E28" i="1"/>
  <c r="E29" i="1" s="1"/>
  <c r="E30" i="1" s="1"/>
  <c r="E31" i="1" s="1"/>
  <c r="E32" i="1" s="1"/>
  <c r="D28" i="1" l="1"/>
  <c r="C29" i="1" s="1"/>
  <c r="C28" i="1"/>
  <c r="D29" i="1" l="1"/>
  <c r="D30" i="1" l="1"/>
  <c r="C30" i="1"/>
  <c r="D31" i="1" l="1"/>
  <c r="C32" i="1" s="1"/>
  <c r="C31" i="1"/>
  <c r="E13" i="1"/>
  <c r="E15" i="1"/>
  <c r="E14" i="1" l="1"/>
  <c r="E21" i="1"/>
  <c r="E16" i="1" l="1"/>
  <c r="E18" i="1" s="1"/>
</calcChain>
</file>

<file path=xl/sharedStrings.xml><?xml version="1.0" encoding="utf-8"?>
<sst xmlns="http://schemas.openxmlformats.org/spreadsheetml/2006/main" count="34" uniqueCount="32">
  <si>
    <t>Guggenheim Usage Cost Estimator</t>
  </si>
  <si>
    <t>Fill in the yellow cells! Starting and ending dates will calculate whether Overnight or Single Day rates are appropriate. Enter the estimated users in Overnight or Single Day to estimate the cost to use Guggenheim.</t>
  </si>
  <si>
    <t>Dates requested</t>
  </si>
  <si>
    <t>Date</t>
  </si>
  <si>
    <t>Time</t>
  </si>
  <si>
    <t>Starting date</t>
  </si>
  <si>
    <t>Ending date</t>
  </si>
  <si>
    <t>Overnight Use</t>
  </si>
  <si>
    <t>Nightly fee per user</t>
  </si>
  <si>
    <t>Fill in yellow highlighted fields to estimate your cost to use the Guggenheim Center. Billing will be done based on actual number of users.</t>
  </si>
  <si>
    <t>Building</t>
  </si>
  <si>
    <t>Minimum daily charge</t>
  </si>
  <si>
    <t>Estimated users</t>
  </si>
  <si>
    <t>Estimated cost</t>
  </si>
  <si>
    <t>Dormitory</t>
  </si>
  <si>
    <t>Lodge</t>
  </si>
  <si>
    <t>Boathouse</t>
  </si>
  <si>
    <t>Subtotal</t>
  </si>
  <si>
    <t>24 hour periods requested (noon to noon)</t>
  </si>
  <si>
    <t>Estimated cost to use facility</t>
  </si>
  <si>
    <t>- or -</t>
  </si>
  <si>
    <t>Single Day Use</t>
  </si>
  <si>
    <t>Minimum users</t>
  </si>
  <si>
    <t>Maximum users</t>
  </si>
  <si>
    <t>Cost for 4 hours</t>
  </si>
  <si>
    <t>or more people</t>
  </si>
  <si>
    <t>4 hour use fee</t>
  </si>
  <si>
    <t>Estimated total hours</t>
  </si>
  <si>
    <t>Additional 4 hour blocks needed</t>
  </si>
  <si>
    <t>Cost per additional 4 hour block</t>
  </si>
  <si>
    <t>Additional block subtotal</t>
  </si>
  <si>
    <t>For estimating costs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</si>
</sst>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dddd\ m/d/yy"/>
  </numFmts>
  <fonts count="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1"/>
        <bgColor theme="1"/>
      </patternFill>
    </fill>
    <fill>
      <patternFill patternType="solid">
        <fgColor theme="7" tint="0.59999389629810485"/>
        <bgColor indexed="64"/>
      </patternFill>
    </fill>
  </fills>
  <borders count="1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style="thick">
        <color theme="4" tint="0.39997558519241921"/>
      </left>
      <right/>
      <top/>
      <bottom/>
      <diagonal/>
    </border>
    <border>
      <left style="thick">
        <color theme="4" tint="0.39997558519241921"/>
      </left>
      <right/>
      <top style="thick">
        <color theme="4" tint="0.39997558519241921"/>
      </top>
      <bottom/>
      <diagonal/>
    </border>
    <border>
      <left/>
      <right/>
      <top style="thick">
        <color theme="4" tint="0.39997558519241921"/>
      </top>
      <bottom/>
      <diagonal/>
    </border>
    <border>
      <left/>
      <right style="thick">
        <color theme="4" tint="0.39997558519241921"/>
      </right>
      <top style="thick">
        <color theme="4" tint="0.39997558519241921"/>
      </top>
      <bottom/>
      <diagonal/>
    </border>
    <border>
      <left/>
      <right style="thick">
        <color theme="4" tint="0.39997558519241921"/>
      </right>
      <top/>
      <bottom/>
      <diagonal/>
    </border>
    <border>
      <left/>
      <right style="thick">
        <color theme="4" tint="0.39997558519241921"/>
      </right>
      <top/>
      <bottom style="thin">
        <color indexed="64"/>
      </bottom>
      <diagonal/>
    </border>
    <border>
      <left style="thick">
        <color theme="4" tint="0.39997558519241921"/>
      </left>
      <right/>
      <top/>
      <bottom style="thick">
        <color theme="4" tint="0.39997558519241921"/>
      </bottom>
      <diagonal/>
    </border>
    <border>
      <left/>
      <right/>
      <top/>
      <bottom style="thick">
        <color theme="4" tint="0.39997558519241921"/>
      </bottom>
      <diagonal/>
    </border>
    <border>
      <left/>
      <right style="thick">
        <color theme="4" tint="0.39997558519241921"/>
      </right>
      <top/>
      <bottom style="thick">
        <color theme="4" tint="0.39997558519241921"/>
      </bottom>
      <diagonal/>
    </border>
    <border>
      <left/>
      <right/>
      <top style="thin">
        <color theme="1"/>
      </top>
      <bottom/>
      <diagonal/>
    </border>
    <border>
      <left/>
      <right/>
      <top style="thick">
        <color theme="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2" applyNumberFormat="0" applyFill="0" applyAlignment="0" applyProtection="0"/>
    <xf numFmtId="0" fontId="3" fillId="0" borderId="3" applyNumberFormat="0" applyFill="0" applyAlignment="0" applyProtection="0"/>
  </cellStyleXfs>
  <cellXfs count="46">
    <xf numFmtId="0" fontId="0" fillId="0" borderId="0" xfId="0"/>
    <xf numFmtId="0" fontId="0" fillId="0" borderId="0" xfId="0" applyAlignment="1">
      <alignment wrapText="1"/>
    </xf>
    <xf numFmtId="0" fontId="0" fillId="0" borderId="1" xfId="0" applyBorder="1"/>
    <xf numFmtId="0" fontId="0" fillId="0" borderId="0" xfId="0" applyAlignment="1">
      <alignment horizontal="right"/>
    </xf>
    <xf numFmtId="0" fontId="0" fillId="0" borderId="1" xfId="0" applyBorder="1" applyAlignment="1">
      <alignment horizontal="right"/>
    </xf>
    <xf numFmtId="0" fontId="3" fillId="0" borderId="3" xfId="4"/>
    <xf numFmtId="0" fontId="2" fillId="0" borderId="2" xfId="3"/>
    <xf numFmtId="0" fontId="0" fillId="0" borderId="0" xfId="0" applyAlignment="1">
      <alignment horizontal="left" vertical="top" wrapText="1"/>
    </xf>
    <xf numFmtId="0" fontId="3" fillId="0" borderId="0" xfId="4" applyBorder="1"/>
    <xf numFmtId="0" fontId="0" fillId="0" borderId="4" xfId="0" applyBorder="1"/>
    <xf numFmtId="0" fontId="0" fillId="0" borderId="5" xfId="0" applyBorder="1"/>
    <xf numFmtId="0" fontId="0" fillId="0" borderId="4" xfId="0" applyBorder="1" applyAlignment="1">
      <alignment wrapText="1"/>
    </xf>
    <xf numFmtId="0" fontId="0" fillId="0" borderId="0" xfId="0" applyAlignment="1">
      <alignment horizontal="right" wrapText="1"/>
    </xf>
    <xf numFmtId="165" fontId="0" fillId="0" borderId="8" xfId="2" applyNumberFormat="1" applyFont="1" applyBorder="1" applyAlignment="1">
      <alignment horizontal="right" wrapText="1"/>
    </xf>
    <xf numFmtId="165" fontId="0" fillId="0" borderId="0" xfId="2" applyNumberFormat="1" applyFont="1" applyBorder="1"/>
    <xf numFmtId="165" fontId="0" fillId="0" borderId="8" xfId="2" applyNumberFormat="1" applyFont="1" applyBorder="1"/>
    <xf numFmtId="0" fontId="4" fillId="0" borderId="0" xfId="0" applyFont="1" applyAlignment="1">
      <alignment horizontal="right"/>
    </xf>
    <xf numFmtId="165" fontId="4" fillId="0" borderId="8" xfId="2" applyNumberFormat="1" applyFont="1" applyBorder="1"/>
    <xf numFmtId="0" fontId="0" fillId="0" borderId="8" xfId="0" applyBorder="1"/>
    <xf numFmtId="166" fontId="0" fillId="0" borderId="8" xfId="0" applyNumberFormat="1" applyBorder="1"/>
    <xf numFmtId="0" fontId="0" fillId="0" borderId="10" xfId="0" applyBorder="1"/>
    <xf numFmtId="0" fontId="0" fillId="0" borderId="11" xfId="0" applyBorder="1"/>
    <xf numFmtId="44" fontId="4" fillId="0" borderId="6" xfId="2" applyFont="1" applyBorder="1"/>
    <xf numFmtId="0" fontId="0" fillId="0" borderId="6" xfId="0" applyBorder="1"/>
    <xf numFmtId="0" fontId="0" fillId="0" borderId="7" xfId="0" applyBorder="1"/>
    <xf numFmtId="164" fontId="0" fillId="0" borderId="8" xfId="1" applyNumberFormat="1" applyFont="1" applyFill="1" applyBorder="1" applyProtection="1"/>
    <xf numFmtId="165" fontId="4" fillId="0" borderId="8" xfId="0" applyNumberFormat="1" applyFont="1" applyBorder="1"/>
    <xf numFmtId="0" fontId="0" fillId="0" borderId="11" xfId="0" applyBorder="1" applyAlignment="1">
      <alignment horizontal="right"/>
    </xf>
    <xf numFmtId="166" fontId="0" fillId="0" borderId="12" xfId="0" applyNumberFormat="1" applyBorder="1"/>
    <xf numFmtId="165" fontId="0" fillId="0" borderId="12" xfId="2" applyNumberFormat="1" applyFont="1" applyBorder="1"/>
    <xf numFmtId="0" fontId="5" fillId="2" borderId="13" xfId="0" applyFont="1" applyFill="1" applyBorder="1" applyAlignment="1">
      <alignment horizontal="right" wrapText="1"/>
    </xf>
    <xf numFmtId="43" fontId="0" fillId="0" borderId="0" xfId="1" applyFont="1"/>
    <xf numFmtId="43" fontId="0" fillId="0" borderId="8" xfId="1" applyFont="1" applyFill="1" applyBorder="1" applyProtection="1"/>
    <xf numFmtId="164" fontId="0" fillId="0" borderId="9" xfId="1" applyNumberFormat="1" applyFont="1" applyFill="1" applyBorder="1" applyProtection="1"/>
    <xf numFmtId="165" fontId="4" fillId="0" borderId="9" xfId="2" applyNumberFormat="1" applyFont="1" applyBorder="1"/>
    <xf numFmtId="165" fontId="0" fillId="0" borderId="9" xfId="2" applyNumberFormat="1" applyFont="1" applyFill="1" applyBorder="1" applyProtection="1"/>
    <xf numFmtId="167" fontId="0" fillId="3" borderId="0" xfId="1" applyNumberFormat="1" applyFont="1" applyFill="1" applyBorder="1" applyProtection="1">
      <protection locked="0"/>
    </xf>
    <xf numFmtId="18" fontId="0" fillId="3" borderId="0" xfId="1" applyNumberFormat="1" applyFont="1" applyFill="1" applyBorder="1" applyAlignment="1" applyProtection="1">
      <protection locked="0"/>
    </xf>
    <xf numFmtId="0" fontId="0" fillId="3" borderId="0" xfId="0" applyFill="1" applyProtection="1">
      <protection locked="0"/>
    </xf>
    <xf numFmtId="164" fontId="0" fillId="3" borderId="9" xfId="1" applyNumberFormat="1" applyFont="1" applyFill="1" applyBorder="1" applyProtection="1">
      <protection locked="0"/>
    </xf>
    <xf numFmtId="0" fontId="0" fillId="0" borderId="0" xfId="0" quotePrefix="1" applyAlignment="1">
      <alignment horizontal="center"/>
    </xf>
    <xf numFmtId="0" fontId="0" fillId="0" borderId="0" xfId="0" applyAlignment="1">
      <alignment horizontal="left" vertical="top" wrapText="1"/>
    </xf>
    <xf numFmtId="0" fontId="0" fillId="0" borderId="8" xfId="0" applyBorder="1" applyAlignment="1">
      <alignment horizontal="left" vertical="top" wrapText="1"/>
    </xf>
    <xf numFmtId="0" fontId="0" fillId="0" borderId="6" xfId="0" quotePrefix="1" applyBorder="1" applyAlignment="1">
      <alignment horizontal="center"/>
    </xf>
    <xf numFmtId="0" fontId="0" fillId="0" borderId="14" xfId="0" applyBorder="1" applyAlignment="1">
      <alignment horizontal="left" vertical="top" wrapText="1"/>
    </xf>
    <xf numFmtId="0" fontId="0" fillId="0" borderId="6" xfId="0" applyBorder="1" applyAlignment="1">
      <alignment horizontal="center"/>
    </xf>
  </cellXfs>
  <cellStyles count="5">
    <cellStyle name="Comma" xfId="1" builtinId="3"/>
    <cellStyle name="Currency" xfId="2" builtinId="4"/>
    <cellStyle name="Heading 1" xfId="3" builtinId="16"/>
    <cellStyle name="Heading 2" xfId="4" builtinId="17"/>
    <cellStyle name="Normal" xfId="0" builtinId="0"/>
  </cellStyles>
  <dxfs count="5">
    <dxf>
      <font>
        <b val="0"/>
        <i val="0"/>
        <strike val="0"/>
        <condense val="0"/>
        <extend val="0"/>
        <outline val="0"/>
        <shadow val="0"/>
        <u val="none"/>
        <vertAlign val="baseline"/>
        <sz val="11"/>
        <color theme="1"/>
        <name val="Calibri"/>
        <family val="2"/>
        <scheme val="minor"/>
      </font>
      <numFmt numFmtId="165" formatCode="_(&quot;$&quot;* #,##0_);_(&quot;$&quot;* \(#,##0\);_(&quot;$&quot;* &quot;-&quot;??_);_(@_)"/>
    </dxf>
    <dxf>
      <numFmt numFmtId="165" formatCode="_(&quot;$&quot;* #,##0_);_(&quot;$&quot;* \(#,##0\);_(&quot;$&quot;* &quot;-&quot;??_);_(@_)"/>
    </dxf>
    <dxf>
      <numFmt numFmtId="0" formatCode="General"/>
      <fill>
        <patternFill patternType="solid">
          <fgColor indexed="64"/>
          <bgColor theme="7" tint="0.59999389629810485"/>
        </patternFill>
      </fill>
      <protection locked="0" hidden="0"/>
    </dxf>
    <dxf>
      <font>
        <b val="0"/>
        <i val="0"/>
        <strike val="0"/>
        <condense val="0"/>
        <extend val="0"/>
        <outline val="0"/>
        <shadow val="0"/>
        <u val="none"/>
        <vertAlign val="baseline"/>
        <sz val="11"/>
        <color theme="1"/>
        <name val="Calibri"/>
        <family val="2"/>
        <scheme val="minor"/>
      </font>
      <numFmt numFmtId="165" formatCode="_(&quot;$&quot;* #,##0_);_(&quot;$&quot;* \(#,##0\);_(&quot;$&quot;* &quot;-&quot;??_);_(@_)"/>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E15" totalsRowShown="0" headerRowDxfId="4">
  <autoFilter ref="B12:E15" xr:uid="{00000000-0009-0000-0100-000001000000}">
    <filterColumn colId="0" hiddenButton="1"/>
    <filterColumn colId="1" hiddenButton="1"/>
    <filterColumn colId="2" hiddenButton="1"/>
    <filterColumn colId="3" hiddenButton="1"/>
  </autoFilter>
  <tableColumns count="4">
    <tableColumn id="1" xr3:uid="{00000000-0010-0000-0000-000001000000}" name="Building"/>
    <tableColumn id="3" xr3:uid="{00000000-0010-0000-0000-000003000000}" name="Minimum daily charge" dataDxfId="3" dataCellStyle="Currency"/>
    <tableColumn id="4" xr3:uid="{00000000-0010-0000-0000-000004000000}" name="Estimated users" dataDxfId="2"/>
    <tableColumn id="5" xr3:uid="{00000000-0010-0000-0000-000005000000}" name="Estimated cost" dataDxfId="1" dataCellStyle="Currency">
      <calculatedColumnFormula>IF(Table1[[#This Row],[Estimated users]]&gt;0,IF((Table1[[#This Row],[Estimated users]]*$B$10)&gt;Table1[[#This Row],[Minimum daily charge]],Table1[[#This Row],[Estimated users]]*$B$10,Table1[[#This Row],[Minimum daily charge]]),0)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6:E32" totalsRowShown="0">
  <autoFilter ref="C26:E32" xr:uid="{00000000-0009-0000-0100-000002000000}">
    <filterColumn colId="0" hiddenButton="1"/>
    <filterColumn colId="1" hiddenButton="1"/>
    <filterColumn colId="2" hiddenButton="1"/>
  </autoFilter>
  <tableColumns count="3">
    <tableColumn id="1" xr3:uid="{00000000-0010-0000-0100-000001000000}" name="Minimum users"/>
    <tableColumn id="2" xr3:uid="{00000000-0010-0000-0100-000002000000}" name="Maximum users"/>
    <tableColumn id="3" xr3:uid="{00000000-0010-0000-0100-000003000000}" name="Cost for 4 hours" dataDxfId="0" dataCellStyle="Currency"/>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showGridLines="0" showRowColHeaders="0" tabSelected="1" workbookViewId="0">
      <selection activeCell="D6" sqref="D6"/>
    </sheetView>
  </sheetViews>
  <sheetFormatPr defaultRowHeight="14.45"/>
  <cols>
    <col min="2" max="2" width="10.42578125" customWidth="1"/>
    <col min="3" max="5" width="19.7109375" customWidth="1"/>
    <col min="6" max="6" width="9"/>
    <col min="7" max="7" width="15" bestFit="1" customWidth="1"/>
    <col min="8" max="12" width="9"/>
  </cols>
  <sheetData>
    <row r="1" spans="1:7" ht="20.100000000000001" thickBot="1">
      <c r="A1" s="6" t="s">
        <v>0</v>
      </c>
      <c r="B1" s="6"/>
      <c r="C1" s="6"/>
      <c r="D1" s="6"/>
      <c r="E1" s="6"/>
    </row>
    <row r="2" spans="1:7" ht="45.4" customHeight="1" thickTop="1">
      <c r="A2" s="44" t="s">
        <v>1</v>
      </c>
      <c r="B2" s="44"/>
      <c r="C2" s="44"/>
      <c r="D2" s="44"/>
      <c r="E2" s="44"/>
    </row>
    <row r="3" spans="1:7">
      <c r="A3" s="7"/>
      <c r="B3" s="7"/>
      <c r="C3" s="7"/>
      <c r="D3" s="7"/>
      <c r="E3" s="7"/>
    </row>
    <row r="4" spans="1:7" ht="17.45" thickBot="1">
      <c r="A4" s="5" t="s">
        <v>2</v>
      </c>
      <c r="B4" s="5"/>
      <c r="C4" s="5"/>
      <c r="D4" s="5"/>
      <c r="E4" s="5"/>
    </row>
    <row r="5" spans="1:7" ht="15" thickTop="1">
      <c r="D5" s="30" t="s">
        <v>3</v>
      </c>
      <c r="E5" s="30" t="s">
        <v>4</v>
      </c>
    </row>
    <row r="6" spans="1:7">
      <c r="C6" s="3" t="s">
        <v>5</v>
      </c>
      <c r="D6" s="36"/>
      <c r="E6" s="37"/>
    </row>
    <row r="7" spans="1:7">
      <c r="C7" s="3" t="s">
        <v>6</v>
      </c>
      <c r="D7" s="36"/>
      <c r="E7" s="37"/>
    </row>
    <row r="8" spans="1:7">
      <c r="D8" s="16"/>
      <c r="E8" s="3" t="str">
        <f>INT((D7+E7)-(D6+E6)) &amp;" day(s) and "&amp;ROUND((((D7+E7)-(D6+E6))-INT((D7+E7)-(D6+E6)))*24,2)&amp;" hours requested"</f>
        <v>0 day(s) and 0 hours requested</v>
      </c>
    </row>
    <row r="9" spans="1:7" ht="17.45" thickBot="1">
      <c r="A9" s="8" t="s">
        <v>7</v>
      </c>
      <c r="B9" s="8"/>
      <c r="C9" s="8"/>
      <c r="D9" s="8"/>
      <c r="E9" s="8"/>
    </row>
    <row r="10" spans="1:7" ht="15" thickTop="1">
      <c r="A10" s="10"/>
      <c r="B10" s="22">
        <v>17</v>
      </c>
      <c r="C10" s="23" t="s">
        <v>8</v>
      </c>
      <c r="D10" s="23"/>
      <c r="E10" s="24"/>
    </row>
    <row r="11" spans="1:7" ht="33.75" customHeight="1">
      <c r="A11" s="9"/>
      <c r="B11" s="41" t="s">
        <v>9</v>
      </c>
      <c r="C11" s="41"/>
      <c r="D11" s="41"/>
      <c r="E11" s="42"/>
    </row>
    <row r="12" spans="1:7" s="1" customFormat="1">
      <c r="A12" s="11"/>
      <c r="B12" s="1" t="s">
        <v>10</v>
      </c>
      <c r="C12" s="12" t="s">
        <v>11</v>
      </c>
      <c r="D12" s="12" t="s">
        <v>12</v>
      </c>
      <c r="E12" s="13" t="s">
        <v>13</v>
      </c>
      <c r="G12"/>
    </row>
    <row r="13" spans="1:7">
      <c r="A13" s="9"/>
      <c r="B13" t="s">
        <v>14</v>
      </c>
      <c r="C13" s="14">
        <f>B10*20</f>
        <v>340</v>
      </c>
      <c r="D13" s="38"/>
      <c r="E13" s="15">
        <f>IF(Table1[[#This Row],[Estimated users]]&gt;0,IF((Table1[[#This Row],[Estimated users]]*$B$10)&gt;Table1[[#This Row],[Minimum daily charge]],Table1[[#This Row],[Estimated users]]*$B$10,Table1[[#This Row],[Minimum daily charge]]),0)</f>
        <v>0</v>
      </c>
    </row>
    <row r="14" spans="1:7">
      <c r="A14" s="9"/>
      <c r="B14" t="s">
        <v>15</v>
      </c>
      <c r="C14" s="14">
        <f>B10*8</f>
        <v>136</v>
      </c>
      <c r="D14" s="38"/>
      <c r="E14" s="15">
        <f>IF(Table1[[#This Row],[Estimated users]]&gt;0,IF((Table1[[#This Row],[Estimated users]]*$B$10)&gt;Table1[[#This Row],[Minimum daily charge]],Table1[[#This Row],[Estimated users]]*$B$10,Table1[[#This Row],[Minimum daily charge]]),0)</f>
        <v>0</v>
      </c>
    </row>
    <row r="15" spans="1:7">
      <c r="A15" s="9"/>
      <c r="B15" t="s">
        <v>16</v>
      </c>
      <c r="C15" s="14">
        <f>B10*2</f>
        <v>34</v>
      </c>
      <c r="D15" s="38"/>
      <c r="E15" s="15">
        <f>IF(Table1[[#This Row],[Estimated users]]&gt;0,IF((Table1[[#This Row],[Estimated users]]*$B$10)&gt;Table1[[#This Row],[Minimum daily charge]],Table1[[#This Row],[Estimated users]]*$B$10,Table1[[#This Row],[Minimum daily charge]]),0)</f>
        <v>0</v>
      </c>
    </row>
    <row r="16" spans="1:7">
      <c r="A16" s="9"/>
      <c r="D16" s="3" t="s">
        <v>17</v>
      </c>
      <c r="E16" s="15" t="str">
        <f>IF(D7&gt;D6,SUM(E13:E15),"")</f>
        <v/>
      </c>
    </row>
    <row r="17" spans="1:5">
      <c r="A17" s="9"/>
      <c r="D17" s="3" t="s">
        <v>18</v>
      </c>
      <c r="E17" s="33">
        <f>ROUNDDOWN((D7+E7)-(D6+E6)+0.5,0)</f>
        <v>0</v>
      </c>
    </row>
    <row r="18" spans="1:5">
      <c r="A18" s="9"/>
      <c r="D18" s="16" t="s">
        <v>19</v>
      </c>
      <c r="E18" s="17" t="str">
        <f>IF($D$7&gt;$D$6,E16*E17,"")</f>
        <v/>
      </c>
    </row>
    <row r="19" spans="1:5">
      <c r="A19" s="9"/>
      <c r="E19" s="18"/>
    </row>
    <row r="20" spans="1:5">
      <c r="A20" s="9"/>
      <c r="D20" s="3" t="str">
        <f>IF(ISBLANK($D$6),"Dates needed.","Minimum charge for cancellation on or after " &amp;TEXT($D$6-28,"mm/dd/yyyy"))</f>
        <v>Dates needed.</v>
      </c>
      <c r="E20" s="19" t="str">
        <f>IF($D$7&gt;$D$6,IF(D13&gt;0,C13*E17,0)+IF(D14&gt;0,C14*E17,0)+IF(D15&gt;0,C15*E17,0),"")</f>
        <v/>
      </c>
    </row>
    <row r="21" spans="1:5">
      <c r="A21" s="9"/>
      <c r="D21" s="3" t="str">
        <f>IF(ISBLANK($D$6),"","Minimum charge for cancellation on or after " &amp;TEXT($D$6-56,"mm/dd/yyyy"))</f>
        <v/>
      </c>
      <c r="E21" s="19" t="str">
        <f>IF($D$7&gt;$D$6,E20/2,"")</f>
        <v/>
      </c>
    </row>
    <row r="22" spans="1:5" ht="15" thickBot="1">
      <c r="A22" s="20"/>
      <c r="B22" s="21"/>
      <c r="C22" s="21"/>
      <c r="D22" s="27" t="str">
        <f>IF(ISBLANK($D$6),"","Minimum charge for cancellation before " &amp;TEXT($D$6-56,"mm/dd/yyyy"))</f>
        <v/>
      </c>
      <c r="E22" s="28" t="str">
        <f>IF($D$7&gt;$D$6,0,"")</f>
        <v/>
      </c>
    </row>
    <row r="23" spans="1:5" ht="15" thickTop="1">
      <c r="A23" s="43"/>
      <c r="B23" s="43"/>
      <c r="C23" s="43"/>
      <c r="D23" s="43"/>
      <c r="E23" s="43"/>
    </row>
    <row r="24" spans="1:5">
      <c r="A24" s="40" t="s">
        <v>20</v>
      </c>
      <c r="B24" s="40"/>
      <c r="C24" s="40"/>
      <c r="D24" s="40"/>
      <c r="E24" s="40"/>
    </row>
    <row r="25" spans="1:5" ht="17.45" thickBot="1">
      <c r="A25" s="8" t="s">
        <v>21</v>
      </c>
      <c r="B25" s="8"/>
      <c r="C25" s="8"/>
      <c r="D25" s="8"/>
      <c r="E25" s="8"/>
    </row>
    <row r="26" spans="1:5" ht="15" thickTop="1">
      <c r="A26" s="10"/>
      <c r="B26" s="23"/>
      <c r="C26" s="23" t="s">
        <v>22</v>
      </c>
      <c r="D26" s="23" t="s">
        <v>23</v>
      </c>
      <c r="E26" s="24" t="s">
        <v>24</v>
      </c>
    </row>
    <row r="27" spans="1:5">
      <c r="A27" s="9"/>
      <c r="C27">
        <v>1</v>
      </c>
      <c r="D27">
        <v>20</v>
      </c>
      <c r="E27" s="15">
        <v>75</v>
      </c>
    </row>
    <row r="28" spans="1:5">
      <c r="A28" s="9"/>
      <c r="C28">
        <f>D27+1</f>
        <v>21</v>
      </c>
      <c r="D28">
        <f>D27+20</f>
        <v>40</v>
      </c>
      <c r="E28" s="15">
        <f>E27+$E$27</f>
        <v>150</v>
      </c>
    </row>
    <row r="29" spans="1:5">
      <c r="A29" s="9"/>
      <c r="C29">
        <f t="shared" ref="C29:C32" si="0">D28+1</f>
        <v>41</v>
      </c>
      <c r="D29">
        <f t="shared" ref="D29:D31" si="1">D28+20</f>
        <v>60</v>
      </c>
      <c r="E29" s="15">
        <f t="shared" ref="E29:E32" si="2">E28+$E$27</f>
        <v>225</v>
      </c>
    </row>
    <row r="30" spans="1:5">
      <c r="A30" s="9"/>
      <c r="C30">
        <f t="shared" si="0"/>
        <v>61</v>
      </c>
      <c r="D30">
        <f t="shared" si="1"/>
        <v>80</v>
      </c>
      <c r="E30" s="15">
        <f t="shared" si="2"/>
        <v>300</v>
      </c>
    </row>
    <row r="31" spans="1:5">
      <c r="A31" s="9"/>
      <c r="C31">
        <f t="shared" si="0"/>
        <v>81</v>
      </c>
      <c r="D31">
        <f t="shared" si="1"/>
        <v>100</v>
      </c>
      <c r="E31" s="15">
        <f t="shared" si="2"/>
        <v>375</v>
      </c>
    </row>
    <row r="32" spans="1:5">
      <c r="A32" s="9"/>
      <c r="C32">
        <f t="shared" si="0"/>
        <v>101</v>
      </c>
      <c r="D32" t="s">
        <v>25</v>
      </c>
      <c r="E32" s="15">
        <f t="shared" si="2"/>
        <v>450</v>
      </c>
    </row>
    <row r="33" spans="1:7">
      <c r="A33" s="9"/>
      <c r="E33" s="18"/>
    </row>
    <row r="34" spans="1:7">
      <c r="A34" s="9"/>
      <c r="C34" s="2"/>
      <c r="D34" s="4" t="s">
        <v>12</v>
      </c>
      <c r="E34" s="39"/>
    </row>
    <row r="35" spans="1:7">
      <c r="A35" s="9"/>
      <c r="D35" s="3" t="s">
        <v>26</v>
      </c>
      <c r="E35" s="17" t="str">
        <f>IF(E34&gt;0,VLOOKUP(E34,Table2[#All],3),"")</f>
        <v/>
      </c>
    </row>
    <row r="36" spans="1:7">
      <c r="A36" s="9"/>
      <c r="D36" s="3"/>
      <c r="E36" s="18"/>
    </row>
    <row r="37" spans="1:7">
      <c r="A37" s="9"/>
      <c r="D37" s="3" t="s">
        <v>27</v>
      </c>
      <c r="E37" s="32" t="str">
        <f>IF(AND(D7=D6,E7&gt;E6),HOUR(E7-E6)+MINUTE(E7-E6)/60,"")</f>
        <v/>
      </c>
      <c r="G37" s="31"/>
    </row>
    <row r="38" spans="1:7">
      <c r="A38" s="9"/>
      <c r="D38" s="3" t="s">
        <v>28</v>
      </c>
      <c r="E38" s="25" t="str">
        <f>IF(ISNUMBER(E37),CEILING((E37-4)/4,1),"")</f>
        <v/>
      </c>
    </row>
    <row r="39" spans="1:7">
      <c r="A39" s="9"/>
      <c r="D39" s="3" t="s">
        <v>29</v>
      </c>
      <c r="E39" s="35" t="str">
        <f>IF(ISNUMBER(E37),E27,"")</f>
        <v/>
      </c>
    </row>
    <row r="40" spans="1:7">
      <c r="A40" s="9"/>
      <c r="C40" s="2"/>
      <c r="D40" s="4" t="s">
        <v>30</v>
      </c>
      <c r="E40" s="34" t="str">
        <f>IF(ISNUMBER(E37),CEILING((E37-4)/4,1)*E39,"")</f>
        <v/>
      </c>
    </row>
    <row r="41" spans="1:7">
      <c r="A41" s="9"/>
      <c r="D41" s="16" t="s">
        <v>19</v>
      </c>
      <c r="E41" s="26" t="str">
        <f>IF(AND(ISNUMBER(E34),ISNUMBER(E37)),E35+E40,"")</f>
        <v/>
      </c>
    </row>
    <row r="42" spans="1:7">
      <c r="A42" s="9"/>
      <c r="E42" s="18"/>
    </row>
    <row r="43" spans="1:7">
      <c r="A43" s="9"/>
      <c r="D43" s="3" t="str">
        <f>IF(ISBLANK($D$6),"Dates needed.","Minimum charge for cancellation on or after " &amp;TEXT($D$6-28,"mm/dd/yyyy"))</f>
        <v>Dates needed.</v>
      </c>
      <c r="E43" s="15" t="str">
        <f>IF(ISNUMBER(E41),E27*(1+E38),"")</f>
        <v/>
      </c>
    </row>
    <row r="44" spans="1:7">
      <c r="A44" s="9"/>
      <c r="D44" s="3" t="str">
        <f>IF(ISBLANK($D$6),"","Minimum charge for cancellation on or after " &amp;TEXT($D$6-56,"mm/dd/yyyy"))</f>
        <v/>
      </c>
      <c r="E44" s="15" t="str">
        <f>IF(ISNUMBER(E41),E43/2,"")</f>
        <v/>
      </c>
    </row>
    <row r="45" spans="1:7" ht="15" thickBot="1">
      <c r="A45" s="20"/>
      <c r="B45" s="21"/>
      <c r="C45" s="21"/>
      <c r="D45" s="27" t="str">
        <f>IF(ISBLANK($D$6),"","Minimum charge for cancellation before " &amp;TEXT($D$6-56,"mm/dd/yyyy"))</f>
        <v/>
      </c>
      <c r="E45" s="29" t="str">
        <f>IF(ISNUMBER(E41),0,"")</f>
        <v/>
      </c>
    </row>
    <row r="46" spans="1:7" ht="15" thickTop="1">
      <c r="A46" s="45" t="s">
        <v>31</v>
      </c>
      <c r="B46" s="45"/>
      <c r="C46" s="45"/>
      <c r="D46" s="45"/>
      <c r="E46" s="45"/>
    </row>
  </sheetData>
  <sheetProtection sheet="1" selectLockedCells="1"/>
  <mergeCells count="5">
    <mergeCell ref="A24:E24"/>
    <mergeCell ref="B11:E11"/>
    <mergeCell ref="A23:E23"/>
    <mergeCell ref="A2:E2"/>
    <mergeCell ref="A46:E46"/>
  </mergeCells>
  <printOptions horizontalCentered="1" verticalCentered="1"/>
  <pageMargins left="0.7" right="0.7" top="0.75" bottom="0.75" header="0.3" footer="0.3"/>
  <pageSetup scale="92"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4121B8BEE5D2468214A0BFA75047F6" ma:contentTypeVersion="14" ma:contentTypeDescription="Create a new document." ma:contentTypeScope="" ma:versionID="183b59ecf313837abebe42e8144c8610">
  <xsd:schema xmlns:xsd="http://www.w3.org/2001/XMLSchema" xmlns:xs="http://www.w3.org/2001/XMLSchema" xmlns:p="http://schemas.microsoft.com/office/2006/metadata/properties" xmlns:ns2="c1ab3724-b240-4062-817b-051dc6df9285" xmlns:ns3="e41b9c3f-6ea8-4627-a51c-00f5fcc666b3" targetNamespace="http://schemas.microsoft.com/office/2006/metadata/properties" ma:root="true" ma:fieldsID="e14d72c05279d7a883f2231ab5843663" ns2:_="" ns3:_="">
    <xsd:import namespace="c1ab3724-b240-4062-817b-051dc6df9285"/>
    <xsd:import namespace="e41b9c3f-6ea8-4627-a51c-00f5fcc666b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b3724-b240-4062-817b-051dc6df928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1b9c3f-6ea8-4627-a51c-00f5fcc666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41b9c3f-6ea8-4627-a51c-00f5fcc666b3">
      <UserInfo>
        <DisplayName>IT</DisplayName>
        <AccountId>43</AccountId>
        <AccountType/>
      </UserInfo>
      <UserInfo>
        <DisplayName>Deacon Jim Crowley</DisplayName>
        <AccountId>10</AccountId>
        <AccountType/>
      </UserInfo>
      <UserInfo>
        <DisplayName>Tina Pratt</DisplayName>
        <AccountId>18</AccountId>
        <AccountType/>
      </UserInfo>
    </SharedWithUsers>
  </documentManagement>
</p:properties>
</file>

<file path=customXml/itemProps1.xml><?xml version="1.0" encoding="utf-8"?>
<ds:datastoreItem xmlns:ds="http://schemas.openxmlformats.org/officeDocument/2006/customXml" ds:itemID="{08AEBE52-DB6E-4E5B-96BA-74D78DCDB3FF}"/>
</file>

<file path=customXml/itemProps2.xml><?xml version="1.0" encoding="utf-8"?>
<ds:datastoreItem xmlns:ds="http://schemas.openxmlformats.org/officeDocument/2006/customXml" ds:itemID="{E4C1A687-CC6B-4943-BA7F-73E60A146544}"/>
</file>

<file path=customXml/itemProps3.xml><?xml version="1.0" encoding="utf-8"?>
<ds:datastoreItem xmlns:ds="http://schemas.openxmlformats.org/officeDocument/2006/customXml" ds:itemID="{F219A933-4DA2-4B78-A675-9A0CCD954F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Crowley</dc:creator>
  <cp:keywords/>
  <dc:description/>
  <cp:lastModifiedBy/>
  <cp:revision/>
  <dcterms:created xsi:type="dcterms:W3CDTF">2016-12-13T19:05:51Z</dcterms:created>
  <dcterms:modified xsi:type="dcterms:W3CDTF">2024-01-23T13:59:41Z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0x010100DE4121B8BEE5D2468214A0BFA75047F6</vt:lpwstr>
  </property>
</Properties>
</file>